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mi.ruru\Documents\3. Calculation Sheets\"/>
    </mc:Choice>
  </mc:AlternateContent>
  <xr:revisionPtr revIDLastSave="0" documentId="13_ncr:1_{27B933FC-549A-4C20-BFF4-9225EB4254C2}" xr6:coauthVersionLast="46" xr6:coauthVersionMax="46" xr10:uidLastSave="{00000000-0000-0000-0000-000000000000}"/>
  <bookViews>
    <workbookView xWindow="-120" yWindow="-120" windowWidth="29040" windowHeight="16440" xr2:uid="{FF6D0310-B7F0-4FAF-B8C4-D0B73A256A45}"/>
  </bookViews>
  <sheets>
    <sheet name="Calculation" sheetId="1" r:id="rId1"/>
    <sheet name="Weight" sheetId="4" state="hidden" r:id="rId2"/>
    <sheet name="Sheet1" sheetId="3" state="hidden" r:id="rId3"/>
  </sheets>
  <definedNames>
    <definedName name="allmotors">#REF!</definedName>
    <definedName name="BLOCKPIT">#REF!</definedName>
    <definedName name="HEADBOXOPTIONS">Sheet1!$F$21:$F$22</definedName>
    <definedName name="LIGHTFILER123">#REF!</definedName>
    <definedName name="LIGHTFILTERING">#REF!</definedName>
    <definedName name="MAGNAFABRIC">Sheet1!$B$12:$B$13</definedName>
    <definedName name="MAGNAHEADBOX">Sheet1!$C$26:$C$27</definedName>
    <definedName name="STANDARDRANGE">Sheet1!$C$12:$C$14</definedName>
    <definedName name="SUNSCREEN">#REF!</definedName>
    <definedName name="SUNSCREEN123">#REF!</definedName>
    <definedName name="verge">#REF!</definedName>
    <definedName name="VERGE123">#REF!</definedName>
    <definedName name="VERGE1234">#REF!</definedName>
    <definedName name="VERGEAUGUST">#REF!</definedName>
    <definedName name="vergemotors">#REF!</definedName>
    <definedName name="YESNO">Sheet1!$F$16:$F$17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8" i="1"/>
  <c r="H7" i="4"/>
  <c r="H8" i="4"/>
  <c r="H9" i="4"/>
  <c r="H10" i="4"/>
  <c r="H11" i="4"/>
  <c r="H6" i="4"/>
  <c r="L9" i="1"/>
  <c r="L10" i="1"/>
  <c r="L11" i="1"/>
  <c r="L12" i="1"/>
  <c r="L13" i="1"/>
  <c r="L8" i="1"/>
  <c r="K8" i="1"/>
  <c r="F18" i="4"/>
  <c r="B18" i="4"/>
  <c r="C18" i="4"/>
  <c r="E18" i="4"/>
  <c r="I18" i="4"/>
  <c r="K18" i="4"/>
  <c r="M6" i="4"/>
  <c r="B6" i="4"/>
  <c r="C6" i="4"/>
  <c r="E6" i="4"/>
  <c r="F6" i="4"/>
  <c r="H5" i="4"/>
  <c r="I6" i="4"/>
  <c r="J6" i="4"/>
  <c r="L6" i="4"/>
  <c r="M8" i="1"/>
  <c r="B7" i="4"/>
  <c r="C7" i="4"/>
  <c r="E7" i="4"/>
  <c r="K9" i="1"/>
  <c r="F7" i="4"/>
  <c r="I7" i="4"/>
  <c r="J7" i="4"/>
  <c r="L7" i="4"/>
  <c r="M9" i="1"/>
  <c r="K10" i="1"/>
  <c r="F8" i="4"/>
  <c r="J8" i="4"/>
  <c r="L8" i="4"/>
  <c r="M10" i="1"/>
  <c r="K11" i="1"/>
  <c r="F9" i="4"/>
  <c r="J9" i="4"/>
  <c r="L9" i="4"/>
  <c r="M11" i="1"/>
  <c r="K12" i="1"/>
  <c r="F10" i="4"/>
  <c r="J10" i="4"/>
  <c r="L10" i="4"/>
  <c r="M12" i="1"/>
  <c r="K13" i="1"/>
  <c r="F11" i="4"/>
  <c r="J11" i="4"/>
  <c r="L11" i="4"/>
  <c r="M13" i="1"/>
  <c r="J18" i="4"/>
  <c r="H18" i="4"/>
  <c r="G18" i="4"/>
  <c r="D23" i="4"/>
  <c r="D19" i="4"/>
  <c r="D20" i="4"/>
  <c r="D21" i="4"/>
  <c r="D22" i="4"/>
  <c r="D18" i="4"/>
  <c r="B19" i="4"/>
  <c r="C19" i="4"/>
  <c r="E19" i="4"/>
  <c r="F19" i="4"/>
  <c r="I19" i="4"/>
  <c r="K19" i="4"/>
  <c r="M7" i="4"/>
  <c r="F20" i="4"/>
  <c r="K20" i="4"/>
  <c r="M8" i="4"/>
  <c r="F21" i="4"/>
  <c r="K21" i="4"/>
  <c r="M9" i="4"/>
  <c r="F22" i="4"/>
  <c r="K22" i="4"/>
  <c r="M10" i="4"/>
  <c r="F23" i="4"/>
  <c r="K23" i="4"/>
  <c r="M11" i="4"/>
  <c r="F17" i="4"/>
  <c r="G19" i="4"/>
  <c r="H19" i="4"/>
  <c r="J19" i="4"/>
  <c r="B20" i="4"/>
  <c r="C20" i="4"/>
  <c r="E20" i="4"/>
  <c r="I20" i="4"/>
  <c r="G20" i="4"/>
  <c r="H20" i="4"/>
  <c r="J20" i="4"/>
  <c r="B21" i="4"/>
  <c r="C21" i="4"/>
  <c r="E21" i="4"/>
  <c r="I21" i="4"/>
  <c r="G21" i="4"/>
  <c r="H21" i="4"/>
  <c r="J21" i="4"/>
  <c r="B22" i="4"/>
  <c r="C22" i="4"/>
  <c r="E22" i="4"/>
  <c r="I22" i="4"/>
  <c r="G22" i="4"/>
  <c r="H22" i="4"/>
  <c r="J22" i="4"/>
  <c r="B23" i="4"/>
  <c r="C23" i="4"/>
  <c r="E23" i="4"/>
  <c r="I23" i="4"/>
  <c r="G23" i="4"/>
  <c r="H23" i="4"/>
  <c r="J23" i="4"/>
  <c r="C8" i="4"/>
  <c r="C9" i="4"/>
  <c r="C10" i="4"/>
  <c r="C11" i="4"/>
  <c r="D6" i="4"/>
  <c r="G6" i="4"/>
  <c r="D7" i="4"/>
  <c r="G7" i="4"/>
  <c r="B8" i="4"/>
  <c r="E8" i="4"/>
  <c r="I8" i="4"/>
  <c r="D8" i="4"/>
  <c r="G8" i="4"/>
  <c r="B9" i="4"/>
  <c r="E9" i="4"/>
  <c r="I9" i="4"/>
  <c r="D9" i="4"/>
  <c r="G9" i="4"/>
  <c r="B10" i="4"/>
  <c r="E10" i="4"/>
  <c r="I10" i="4"/>
  <c r="D10" i="4"/>
  <c r="G10" i="4"/>
  <c r="B11" i="4"/>
  <c r="E11" i="4"/>
  <c r="I11" i="4"/>
  <c r="D11" i="4"/>
  <c r="G11" i="4"/>
  <c r="I5" i="4"/>
  <c r="G7" i="1"/>
  <c r="F5" i="4"/>
  <c r="H8" i="1"/>
  <c r="I8" i="1"/>
  <c r="H9" i="1"/>
  <c r="H10" i="1"/>
  <c r="H11" i="1"/>
  <c r="H12" i="1"/>
  <c r="H13" i="1"/>
  <c r="I10" i="1"/>
  <c r="I11" i="1"/>
  <c r="I12" i="1"/>
  <c r="I13" i="1"/>
  <c r="J14" i="1"/>
  <c r="I9" i="1"/>
</calcChain>
</file>

<file path=xl/sharedStrings.xml><?xml version="1.0" encoding="utf-8"?>
<sst xmlns="http://schemas.openxmlformats.org/spreadsheetml/2006/main" count="98" uniqueCount="64">
  <si>
    <t>SqM</t>
  </si>
  <si>
    <t>Width</t>
  </si>
  <si>
    <t>Additional Fabric</t>
  </si>
  <si>
    <t>Actual Drop</t>
  </si>
  <si>
    <t>Fabric Weight</t>
  </si>
  <si>
    <t>Overall Weight</t>
  </si>
  <si>
    <t>Fabric</t>
  </si>
  <si>
    <t>Drop</t>
  </si>
  <si>
    <t xml:space="preserve">https://handymath.com/cgi-bin/roll4.cgi?submit=Entry </t>
  </si>
  <si>
    <r>
      <t xml:space="preserve">Note:  Change all options to </t>
    </r>
    <r>
      <rPr>
        <b/>
        <i/>
        <sz val="14"/>
        <color theme="1"/>
        <rFont val="Arial"/>
        <family val="2"/>
      </rPr>
      <t>mm</t>
    </r>
    <r>
      <rPr>
        <i/>
        <sz val="14"/>
        <color theme="1"/>
        <rFont val="Arial"/>
        <family val="2"/>
      </rPr>
      <t xml:space="preserve"> to ensure correct information provided at the end</t>
    </r>
  </si>
  <si>
    <r>
      <t>2. Thickness of Material</t>
    </r>
    <r>
      <rPr>
        <sz val="14"/>
        <color theme="1"/>
        <rFont val="Arial"/>
        <family val="2"/>
      </rPr>
      <t xml:space="preserve"> - Found on the back of the fabric card or use the above information under "</t>
    </r>
    <r>
      <rPr>
        <b/>
        <sz val="14"/>
        <color theme="1"/>
        <rFont val="Arial"/>
        <family val="2"/>
      </rPr>
      <t>FABRIC WEIGHT</t>
    </r>
    <r>
      <rPr>
        <sz val="14"/>
        <color theme="1"/>
        <rFont val="Arial"/>
        <family val="2"/>
      </rPr>
      <t>"</t>
    </r>
  </si>
  <si>
    <r>
      <t>1. Length of Material</t>
    </r>
    <r>
      <rPr>
        <sz val="14"/>
        <color theme="1"/>
        <rFont val="Arial"/>
        <family val="2"/>
      </rPr>
      <t xml:space="preserve"> - Enter total drop from above information "</t>
    </r>
    <r>
      <rPr>
        <b/>
        <sz val="14"/>
        <color theme="1"/>
        <rFont val="Arial"/>
        <family val="2"/>
      </rPr>
      <t>ACTUAL DROP</t>
    </r>
    <r>
      <rPr>
        <sz val="14"/>
        <color theme="1"/>
        <rFont val="Arial"/>
        <family val="2"/>
      </rPr>
      <t>"</t>
    </r>
  </si>
  <si>
    <r>
      <t>4. Outside Diameter of Roller Material</t>
    </r>
    <r>
      <rPr>
        <sz val="14"/>
        <color theme="1"/>
        <rFont val="Arial"/>
        <family val="2"/>
      </rPr>
      <t xml:space="preserve"> - Change this to mm and click Calculate.  This will tell you the total roll diameter (round up to nearest whole number)</t>
    </r>
  </si>
  <si>
    <t>To work out roll diameter, click the following link &amp; complete as per below instructions:</t>
  </si>
  <si>
    <t>Weight</t>
  </si>
  <si>
    <t>Awning</t>
  </si>
  <si>
    <t>Straight Drop</t>
  </si>
  <si>
    <t>Cable Guide</t>
  </si>
  <si>
    <t>STC</t>
  </si>
  <si>
    <t>MagnaTrack</t>
  </si>
  <si>
    <t>Spectra 1%</t>
  </si>
  <si>
    <t>Spectra 3%</t>
  </si>
  <si>
    <t>MAGNAFABRIC</t>
  </si>
  <si>
    <t>Smart Shade</t>
  </si>
  <si>
    <t>Smart Shade Plus</t>
  </si>
  <si>
    <t>STANDARDRANGE</t>
  </si>
  <si>
    <t>YES</t>
  </si>
  <si>
    <t>NO</t>
  </si>
  <si>
    <t>YESNO</t>
  </si>
  <si>
    <t>NO HEADBOX</t>
  </si>
  <si>
    <t>HEADBOX</t>
  </si>
  <si>
    <t>HEADBOXOPTIONS</t>
  </si>
  <si>
    <t>Headbox</t>
  </si>
  <si>
    <t>Fabric Thickness</t>
  </si>
  <si>
    <t>Thickness</t>
  </si>
  <si>
    <t>Tube</t>
  </si>
  <si>
    <t>Awning 1</t>
  </si>
  <si>
    <t>Awning 2</t>
  </si>
  <si>
    <t>Awning 3</t>
  </si>
  <si>
    <t>Awning 4</t>
  </si>
  <si>
    <t>Awning 5</t>
  </si>
  <si>
    <t>Awning 6</t>
  </si>
  <si>
    <t>Headbox Plates</t>
  </si>
  <si>
    <t>KG</t>
  </si>
  <si>
    <t>Brackets &amp; Adaptors</t>
  </si>
  <si>
    <t>Bottom Rail</t>
  </si>
  <si>
    <t>Other</t>
  </si>
  <si>
    <t>STC Channels</t>
  </si>
  <si>
    <t>Motor</t>
  </si>
  <si>
    <t>TOTAL WEIGHT</t>
  </si>
  <si>
    <t xml:space="preserve">NO HEADBOX  </t>
  </si>
  <si>
    <t>CLOSED HEADBOX</t>
  </si>
  <si>
    <t>MAGNAHEADBOX</t>
  </si>
  <si>
    <t>Octagonal Tube 1m</t>
  </si>
  <si>
    <t>Bottom Rail Weights</t>
  </si>
  <si>
    <t>Guides</t>
  </si>
  <si>
    <t>Other inc Motor</t>
  </si>
  <si>
    <t>MAGNATRACK AWNINGS</t>
  </si>
  <si>
    <t>STANDARD AWNINGS</t>
  </si>
  <si>
    <t>STANDARD TOTAL WEIGHT</t>
  </si>
  <si>
    <t>MAGNATRACK TOTAL WEIGHT</t>
  </si>
  <si>
    <t>Working out Awning weight &amp; roll diameter</t>
  </si>
  <si>
    <r>
      <t>3. Diameter of centre Hole</t>
    </r>
    <r>
      <rPr>
        <sz val="14"/>
        <color theme="1"/>
        <rFont val="Arial"/>
        <family val="2"/>
      </rPr>
      <t xml:space="preserve"> - Either 60mm for Standard Awnings or 100mm for MagnaTrack Awnings</t>
    </r>
  </si>
  <si>
    <t>Everscreen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</si>
</sst>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Franklin Gothic Book"/>
      <family val="2"/>
    </font>
    <font>
      <sz val="11"/>
      <color theme="1"/>
      <name val="Franklin Gothic Book"/>
      <family val="2"/>
    </font>
    <font>
      <b/>
      <sz val="18"/>
      <color theme="1"/>
      <name val="Franklin Gothic Book"/>
      <family val="2"/>
    </font>
    <font>
      <b/>
      <sz val="16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2"/>
      <color theme="1"/>
      <name val="Franklin Gothic Book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9" applyAlignment="0">
      <alignment vertical="center"/>
    </xf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/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10" fillId="0" borderId="4" xfId="0" applyFont="1" applyBorder="1" applyAlignment="1">
      <alignment vertical="center"/>
    </xf>
    <xf numFmtId="0" fontId="9" fillId="0" borderId="0" xfId="0" applyFont="1" applyBorder="1"/>
    <xf numFmtId="0" fontId="12" fillId="0" borderId="4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164" fontId="0" fillId="0" borderId="0" xfId="0" applyNumberFormat="1"/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/>
      <protection locked="0"/>
    </xf>
    <xf numFmtId="0" fontId="0" fillId="0" borderId="5" xfId="0" applyBorder="1"/>
    <xf numFmtId="2" fontId="2" fillId="0" borderId="5" xfId="0" applyNumberFormat="1" applyFont="1" applyBorder="1"/>
    <xf numFmtId="2" fontId="2" fillId="0" borderId="8" xfId="0" applyNumberFormat="1" applyFont="1" applyBorder="1"/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5" xfId="0" applyFont="1" applyBorder="1"/>
    <xf numFmtId="0" fontId="0" fillId="0" borderId="8" xfId="0" applyBorder="1"/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2" fontId="4" fillId="2" borderId="9" xfId="0" applyNumberFormat="1" applyFont="1" applyFill="1" applyBorder="1" applyAlignment="1" applyProtection="1">
      <alignment horizontal="center"/>
    </xf>
    <xf numFmtId="2" fontId="4" fillId="2" borderId="14" xfId="0" applyNumberFormat="1" applyFont="1" applyFill="1" applyBorder="1" applyAlignment="1" applyProtection="1">
      <alignment horizontal="center"/>
    </xf>
    <xf numFmtId="2" fontId="4" fillId="2" borderId="19" xfId="0" applyNumberFormat="1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/>
    </xf>
    <xf numFmtId="2" fontId="4" fillId="2" borderId="17" xfId="0" applyNumberFormat="1" applyFont="1" applyFill="1" applyBorder="1" applyAlignment="1" applyProtection="1">
      <alignment horizontal="center"/>
    </xf>
    <xf numFmtId="2" fontId="4" fillId="2" borderId="20" xfId="0" applyNumberFormat="1" applyFont="1" applyFill="1" applyBorder="1" applyAlignment="1" applyProtection="1">
      <alignment horizontal="center"/>
    </xf>
    <xf numFmtId="2" fontId="4" fillId="2" borderId="16" xfId="0" applyNumberFormat="1" applyFont="1" applyFill="1" applyBorder="1" applyAlignment="1" applyProtection="1">
      <alignment horizont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2" borderId="2" xfId="2" applyFont="1" applyFill="1" applyBorder="1" applyAlignment="1">
      <alignment horizontal="center"/>
    </xf>
    <xf numFmtId="0" fontId="15" fillId="2" borderId="3" xfId="2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Hyperlink" xfId="2" builtinId="8"/>
    <cellStyle name="Normal" xfId="0" builtinId="0"/>
    <cellStyle name="Style 1 2" xfId="1" xr:uid="{5A2498E8-8E4D-4423-88B3-D24DB093153B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1</xdr:row>
      <xdr:rowOff>123265</xdr:rowOff>
    </xdr:from>
    <xdr:to>
      <xdr:col>2</xdr:col>
      <xdr:colOff>1467970</xdr:colOff>
      <xdr:row>5</xdr:row>
      <xdr:rowOff>20814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E5BBA9-535C-4737-A635-7EFA9193C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7" y="324971"/>
          <a:ext cx="2667000" cy="65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andymath.com/cgi-bin/roll4.cgi?submit=Ent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8B75-E424-49E0-ACBE-0F9DE5ECB22E}">
  <dimension ref="A1:O30"/>
  <sheetViews>
    <sheetView tabSelected="1" zoomScale="85" zoomScaleNormal="85" workbookViewId="0">
      <selection activeCell="C13" sqref="C13"/>
    </sheetView>
  </sheetViews>
  <sheetFormatPr defaultRowHeight="15" x14ac:dyDescent="0.25"/>
  <cols>
    <col min="1" max="1" width="5.85546875" customWidth="1"/>
    <col min="2" max="2" width="18.28515625" bestFit="1" customWidth="1"/>
    <col min="3" max="3" width="22.28515625" bestFit="1" customWidth="1"/>
    <col min="4" max="4" width="13.85546875" customWidth="1"/>
    <col min="5" max="5" width="14.28515625" customWidth="1"/>
    <col min="6" max="6" width="20.140625" bestFit="1" customWidth="1"/>
    <col min="7" max="7" width="17.7109375" customWidth="1"/>
    <col min="8" max="8" width="16.5703125" customWidth="1"/>
    <col min="9" max="9" width="11" customWidth="1"/>
    <col min="10" max="10" width="12.7109375" customWidth="1"/>
    <col min="11" max="11" width="17.42578125" customWidth="1"/>
    <col min="12" max="12" width="23.140625" customWidth="1"/>
    <col min="13" max="13" width="25.7109375" customWidth="1"/>
    <col min="14" max="14" width="23" bestFit="1" customWidth="1"/>
  </cols>
  <sheetData>
    <row r="1" spans="1:15" ht="15.75" thickBot="1" x14ac:dyDescent="0.3"/>
    <row r="2" spans="1:15" ht="15" customHeight="1" x14ac:dyDescent="0.25">
      <c r="B2" s="64"/>
      <c r="C2" s="65"/>
      <c r="D2" s="68" t="s">
        <v>61</v>
      </c>
      <c r="E2" s="69"/>
      <c r="F2" s="69"/>
      <c r="G2" s="69"/>
      <c r="H2" s="69"/>
      <c r="I2" s="69"/>
      <c r="J2" s="69"/>
      <c r="K2" s="69"/>
      <c r="L2" s="69"/>
      <c r="M2" s="70"/>
    </row>
    <row r="3" spans="1:15" ht="15" customHeight="1" x14ac:dyDescent="0.25">
      <c r="B3" s="66"/>
      <c r="C3" s="67"/>
      <c r="D3" s="71"/>
      <c r="E3" s="72"/>
      <c r="F3" s="72"/>
      <c r="G3" s="72"/>
      <c r="H3" s="72"/>
      <c r="I3" s="72"/>
      <c r="J3" s="72"/>
      <c r="K3" s="72"/>
      <c r="L3" s="72"/>
      <c r="M3" s="73"/>
    </row>
    <row r="4" spans="1:15" ht="15" customHeight="1" x14ac:dyDescent="0.25">
      <c r="B4" s="66"/>
      <c r="C4" s="67"/>
      <c r="D4" s="71"/>
      <c r="E4" s="72"/>
      <c r="F4" s="72"/>
      <c r="G4" s="72"/>
      <c r="H4" s="72"/>
      <c r="I4" s="72"/>
      <c r="J4" s="72"/>
      <c r="K4" s="72"/>
      <c r="L4" s="72"/>
      <c r="M4" s="73"/>
    </row>
    <row r="5" spans="1:15" ht="15" customHeight="1" x14ac:dyDescent="0.25">
      <c r="B5" s="66"/>
      <c r="C5" s="67"/>
      <c r="D5" s="71"/>
      <c r="E5" s="72"/>
      <c r="F5" s="72"/>
      <c r="G5" s="72"/>
      <c r="H5" s="72"/>
      <c r="I5" s="72"/>
      <c r="J5" s="72"/>
      <c r="K5" s="72"/>
      <c r="L5" s="72"/>
      <c r="M5" s="73"/>
    </row>
    <row r="6" spans="1:15" ht="15.75" customHeight="1" thickBot="1" x14ac:dyDescent="0.3">
      <c r="B6" s="66"/>
      <c r="C6" s="67"/>
      <c r="D6" s="74"/>
      <c r="E6" s="75"/>
      <c r="F6" s="75"/>
      <c r="G6" s="75"/>
      <c r="H6" s="75"/>
      <c r="I6" s="75"/>
      <c r="J6" s="75"/>
      <c r="K6" s="75"/>
      <c r="L6" s="75"/>
      <c r="M6" s="76"/>
    </row>
    <row r="7" spans="1:15" ht="40.5" customHeight="1" x14ac:dyDescent="0.25">
      <c r="B7" s="7" t="s">
        <v>15</v>
      </c>
      <c r="C7" s="8" t="s">
        <v>6</v>
      </c>
      <c r="D7" s="8" t="s">
        <v>1</v>
      </c>
      <c r="E7" s="8" t="s">
        <v>7</v>
      </c>
      <c r="F7" s="8" t="s">
        <v>32</v>
      </c>
      <c r="G7" s="9" t="str">
        <f>IF(B8="MagnaTrack","","Automated")</f>
        <v>Automated</v>
      </c>
      <c r="H7" s="42" t="s">
        <v>2</v>
      </c>
      <c r="I7" s="43" t="s">
        <v>3</v>
      </c>
      <c r="J7" s="43" t="s">
        <v>0</v>
      </c>
      <c r="K7" s="43" t="s">
        <v>4</v>
      </c>
      <c r="L7" s="44" t="s">
        <v>33</v>
      </c>
      <c r="M7" s="45" t="s">
        <v>5</v>
      </c>
    </row>
    <row r="8" spans="1:15" ht="21" x14ac:dyDescent="0.35">
      <c r="A8" s="59"/>
      <c r="B8" s="19"/>
      <c r="C8" s="18"/>
      <c r="D8" s="20"/>
      <c r="E8" s="20"/>
      <c r="F8" s="21"/>
      <c r="G8" s="22"/>
      <c r="H8" s="46">
        <f>IF($B8="magnatrack",400,500)</f>
        <v>500</v>
      </c>
      <c r="I8" s="47">
        <f t="shared" ref="I8:I13" si="0">E8+H8</f>
        <v>500</v>
      </c>
      <c r="J8" s="48">
        <f>D8*E8/1000000</f>
        <v>0</v>
      </c>
      <c r="K8" s="47">
        <f>IFERROR(HLOOKUP($C8,Sheet1!$H$15:$M$17,2,FALSE),0)</f>
        <v>0</v>
      </c>
      <c r="L8" s="49" t="e">
        <f>HLOOKUP($C8,Sheet1!H15:L17,3,FALSE)</f>
        <v>#N/A</v>
      </c>
      <c r="M8" s="50">
        <f>IF($B8="magnatrack",Weight!$M6,Weight!$L6)</f>
        <v>1.9</v>
      </c>
      <c r="O8" s="5"/>
    </row>
    <row r="9" spans="1:15" ht="21" x14ac:dyDescent="0.35">
      <c r="A9" s="59"/>
      <c r="B9" s="19"/>
      <c r="C9" s="18"/>
      <c r="D9" s="20"/>
      <c r="E9" s="20"/>
      <c r="F9" s="21"/>
      <c r="G9" s="22"/>
      <c r="H9" s="46">
        <f t="shared" ref="H9:H13" si="1">IF($B9="magnatrack",400,500)</f>
        <v>500</v>
      </c>
      <c r="I9" s="47">
        <f t="shared" si="0"/>
        <v>500</v>
      </c>
      <c r="J9" s="48">
        <f t="shared" ref="J9:J13" si="2">D9*E9/1000000</f>
        <v>0</v>
      </c>
      <c r="K9" s="47">
        <f>IFERROR(HLOOKUP($C9,Sheet1!$H$15:$M$17,2,FALSE),0)</f>
        <v>0</v>
      </c>
      <c r="L9" s="49" t="e">
        <f>HLOOKUP($C9,Sheet1!H16:L18,3,FALSE)</f>
        <v>#N/A</v>
      </c>
      <c r="M9" s="50">
        <f>IF($B9="magnatrack",Weight!$M7,Weight!$L7)</f>
        <v>1.9</v>
      </c>
      <c r="O9" s="5"/>
    </row>
    <row r="10" spans="1:15" ht="21" x14ac:dyDescent="0.35">
      <c r="A10" s="59"/>
      <c r="B10" s="19"/>
      <c r="C10" s="18"/>
      <c r="D10" s="20"/>
      <c r="E10" s="20"/>
      <c r="F10" s="21"/>
      <c r="G10" s="22"/>
      <c r="H10" s="46">
        <f t="shared" si="1"/>
        <v>500</v>
      </c>
      <c r="I10" s="47">
        <f t="shared" si="0"/>
        <v>500</v>
      </c>
      <c r="J10" s="48">
        <f t="shared" si="2"/>
        <v>0</v>
      </c>
      <c r="K10" s="47">
        <f>IFERROR(HLOOKUP($C10,Sheet1!$H$15:$M$17,2,FALSE),0)</f>
        <v>0</v>
      </c>
      <c r="L10" s="49" t="e">
        <f>HLOOKUP($C10,Sheet1!H17:L19,3,FALSE)</f>
        <v>#N/A</v>
      </c>
      <c r="M10" s="50">
        <f>IF($B10="magnatrack",Weight!$M8,Weight!$L8)</f>
        <v>1.9</v>
      </c>
      <c r="O10" s="5"/>
    </row>
    <row r="11" spans="1:15" ht="21" x14ac:dyDescent="0.35">
      <c r="B11" s="19"/>
      <c r="C11" s="18"/>
      <c r="D11" s="20"/>
      <c r="E11" s="20"/>
      <c r="F11" s="21"/>
      <c r="G11" s="22"/>
      <c r="H11" s="46">
        <f t="shared" si="1"/>
        <v>500</v>
      </c>
      <c r="I11" s="47">
        <f t="shared" si="0"/>
        <v>500</v>
      </c>
      <c r="J11" s="48">
        <f t="shared" si="2"/>
        <v>0</v>
      </c>
      <c r="K11" s="47">
        <f>IFERROR(HLOOKUP($C11,Sheet1!$H$15:$M$17,2,FALSE),0)</f>
        <v>0</v>
      </c>
      <c r="L11" s="49" t="e">
        <f>HLOOKUP($C11,Sheet1!H18:L20,3,FALSE)</f>
        <v>#N/A</v>
      </c>
      <c r="M11" s="50">
        <f>IF($B11="magnatrack",Weight!$M9,Weight!$L9)</f>
        <v>1.9</v>
      </c>
      <c r="O11" s="5"/>
    </row>
    <row r="12" spans="1:15" ht="21" x14ac:dyDescent="0.35">
      <c r="B12" s="19"/>
      <c r="C12" s="18"/>
      <c r="D12" s="20"/>
      <c r="E12" s="20"/>
      <c r="F12" s="21"/>
      <c r="G12" s="22"/>
      <c r="H12" s="46">
        <f t="shared" si="1"/>
        <v>500</v>
      </c>
      <c r="I12" s="47">
        <f t="shared" si="0"/>
        <v>500</v>
      </c>
      <c r="J12" s="48">
        <f t="shared" si="2"/>
        <v>0</v>
      </c>
      <c r="K12" s="47">
        <f>IFERROR(HLOOKUP($C12,Sheet1!$H$15:$M$17,2,FALSE),0)</f>
        <v>0</v>
      </c>
      <c r="L12" s="49" t="e">
        <f>HLOOKUP($C12,Sheet1!H19:L21,3,FALSE)</f>
        <v>#N/A</v>
      </c>
      <c r="M12" s="50">
        <f>IF($B12="magnatrack",Weight!$M10,Weight!$L10)</f>
        <v>1.9</v>
      </c>
      <c r="O12" s="5"/>
    </row>
    <row r="13" spans="1:15" ht="21.75" thickBot="1" x14ac:dyDescent="0.4">
      <c r="B13" s="23"/>
      <c r="C13" s="24"/>
      <c r="D13" s="25"/>
      <c r="E13" s="25"/>
      <c r="F13" s="26"/>
      <c r="G13" s="27"/>
      <c r="H13" s="51">
        <f t="shared" si="1"/>
        <v>500</v>
      </c>
      <c r="I13" s="52">
        <f t="shared" si="0"/>
        <v>500</v>
      </c>
      <c r="J13" s="55">
        <f t="shared" si="2"/>
        <v>0</v>
      </c>
      <c r="K13" s="52">
        <f>IFERROR(HLOOKUP($C13,Sheet1!$H$15:$M$17,2,FALSE),0)</f>
        <v>0</v>
      </c>
      <c r="L13" s="53" t="e">
        <f>HLOOKUP($C13,Sheet1!H20:L22,3,FALSE)</f>
        <v>#N/A</v>
      </c>
      <c r="M13" s="54">
        <f>IF($B13="magnatrack",Weight!$M11,Weight!$L11)</f>
        <v>1.9</v>
      </c>
      <c r="O13" s="5"/>
    </row>
    <row r="14" spans="1:15" ht="21.75" thickBot="1" x14ac:dyDescent="0.4">
      <c r="D14" s="4"/>
      <c r="E14" s="4"/>
      <c r="F14" s="4"/>
      <c r="G14" s="4"/>
      <c r="H14" s="4"/>
      <c r="I14" s="4"/>
      <c r="J14" s="3" t="str">
        <f t="shared" ref="J14" si="3">IF(AND(D14&lt;&gt;"",I14&lt;&gt;""),(D14*I14)/1000000,"")</f>
        <v/>
      </c>
      <c r="K14" s="1"/>
      <c r="M14" s="2"/>
      <c r="O14" s="5"/>
    </row>
    <row r="15" spans="1:15" ht="23.25" x14ac:dyDescent="0.35">
      <c r="B15" s="60" t="s">
        <v>13</v>
      </c>
      <c r="C15" s="61"/>
      <c r="D15" s="61"/>
      <c r="E15" s="61"/>
      <c r="F15" s="61"/>
      <c r="G15" s="61"/>
      <c r="H15" s="61"/>
      <c r="I15" s="61"/>
      <c r="J15" s="62" t="s">
        <v>8</v>
      </c>
      <c r="K15" s="62"/>
      <c r="L15" s="62"/>
      <c r="M15" s="63"/>
      <c r="O15" s="5"/>
    </row>
    <row r="16" spans="1:15" x14ac:dyDescent="0.2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8"/>
      <c r="O16" s="5"/>
    </row>
    <row r="17" spans="2:15" ht="18.75" x14ac:dyDescent="0.3">
      <c r="B17" s="12" t="s">
        <v>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40"/>
      <c r="O17" s="5"/>
    </row>
    <row r="18" spans="2:15" ht="18.75" x14ac:dyDescent="0.3"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40"/>
      <c r="O18" s="5"/>
    </row>
    <row r="19" spans="2:15" ht="18" x14ac:dyDescent="0.25">
      <c r="B19" s="56" t="s">
        <v>11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O19" s="5"/>
    </row>
    <row r="20" spans="2:15" ht="18" x14ac:dyDescent="0.25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  <c r="O20" s="5"/>
    </row>
    <row r="21" spans="2:15" ht="18" x14ac:dyDescent="0.25">
      <c r="B21" s="56" t="s">
        <v>62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  <c r="O21" s="5"/>
    </row>
    <row r="22" spans="2:15" ht="18" x14ac:dyDescent="0.25">
      <c r="B22" s="56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"/>
      <c r="O22" s="5"/>
    </row>
    <row r="23" spans="2:15" ht="21" customHeight="1" thickBot="1" x14ac:dyDescent="0.3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1"/>
      <c r="N23" s="5"/>
      <c r="O23" s="5"/>
    </row>
    <row r="24" spans="2:15" x14ac:dyDescent="0.25">
      <c r="N24" s="5"/>
      <c r="O24" s="5"/>
    </row>
    <row r="25" spans="2:15" x14ac:dyDescent="0.25">
      <c r="N25" s="5"/>
      <c r="O25" s="5"/>
    </row>
    <row r="26" spans="2:15" x14ac:dyDescent="0.25">
      <c r="N26" s="5"/>
      <c r="O26" s="5"/>
    </row>
    <row r="27" spans="2:15" ht="18.75" customHeight="1" x14ac:dyDescent="0.25">
      <c r="N27" s="5"/>
      <c r="O27" s="5"/>
    </row>
    <row r="28" spans="2:15" ht="18.75" customHeight="1" x14ac:dyDescent="0.25">
      <c r="N28" s="5"/>
      <c r="O28" s="5"/>
    </row>
    <row r="29" spans="2:15" ht="18.75" customHeight="1" x14ac:dyDescent="0.25"/>
    <row r="30" spans="2:15" ht="18.75" customHeight="1" x14ac:dyDescent="0.25"/>
  </sheetData>
  <sheetProtection algorithmName="SHA-512" hashValue="h9kR2V1iFuwN5rZ0nqnuSlYChMD3i4EKzS1R7R1St472cSfi/x1FD4OkIsT5Qd5kVcC8ysQi/Ij47lIDeOGn+A==" saltValue="Y1Y1bedxdJMlHIVOgxUuQw==" spinCount="100000" sheet="1" objects="1" scenarios="1" selectLockedCells="1"/>
  <mergeCells count="9">
    <mergeCell ref="B22:M22"/>
    <mergeCell ref="A8:A10"/>
    <mergeCell ref="B15:I15"/>
    <mergeCell ref="J15:M15"/>
    <mergeCell ref="B2:C6"/>
    <mergeCell ref="D2:M6"/>
    <mergeCell ref="B19:M19"/>
    <mergeCell ref="B20:M20"/>
    <mergeCell ref="B21:M21"/>
  </mergeCells>
  <conditionalFormatting sqref="G7">
    <cfRule type="expression" dxfId="0" priority="1">
      <formula>$G$7=""</formula>
    </cfRule>
  </conditionalFormatting>
  <hyperlinks>
    <hyperlink ref="J15" r:id="rId1" xr:uid="{F41390AD-B2B0-4E6A-BD62-52331A7A0515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5806732-3245-4642-99D3-D0861C74684F}">
          <x14:formula1>
            <xm:f>Sheet1!$B$3:$B$6</xm:f>
          </x14:formula1>
          <xm:sqref>B8:B13</xm:sqref>
        </x14:dataValidation>
        <x14:dataValidation type="list" allowBlank="1" showInputMessage="1" showErrorMessage="1" xr:uid="{2C261283-17C9-44AE-92AF-717FC5ADB771}">
          <x14:formula1>
            <xm:f>INDIRECT(HLOOKUP($B8,Sheet1!$F$3:$I$6,2,FALSE))</xm:f>
          </x14:formula1>
          <xm:sqref>C8:C13</xm:sqref>
        </x14:dataValidation>
        <x14:dataValidation type="list" allowBlank="1" showInputMessage="1" showErrorMessage="1" xr:uid="{F3ED4DF9-E552-4B05-BA0E-AD7A83543D5A}">
          <x14:formula1>
            <xm:f>INDIRECT(HLOOKUP($B8,Sheet1!$F$3:$I$6,4,FALSE))</xm:f>
          </x14:formula1>
          <xm:sqref>F8:F13</xm:sqref>
        </x14:dataValidation>
        <x14:dataValidation type="list" allowBlank="1" showInputMessage="1" showErrorMessage="1" xr:uid="{67D0F4C7-958E-490E-AC14-146EFF66C0B4}">
          <x14:formula1>
            <xm:f>INDIRECT(HLOOKUP($B8,Sheet1!$F$3:$I$6,3,FALSE))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FC25-1183-40E5-90E1-AA209F91B2DC}">
  <dimension ref="A1:M23"/>
  <sheetViews>
    <sheetView workbookViewId="0">
      <selection activeCell="H7" sqref="H7"/>
    </sheetView>
  </sheetViews>
  <sheetFormatPr defaultRowHeight="15" x14ac:dyDescent="0.25"/>
  <cols>
    <col min="1" max="1" width="14.85546875" customWidth="1"/>
    <col min="2" max="2" width="23.42578125" bestFit="1" customWidth="1"/>
    <col min="3" max="3" width="14.85546875" bestFit="1" customWidth="1"/>
    <col min="4" max="4" width="19" bestFit="1" customWidth="1"/>
    <col min="5" max="5" width="11.42578125" customWidth="1"/>
    <col min="6" max="6" width="6.28515625" bestFit="1" customWidth="1"/>
    <col min="7" max="7" width="18.140625" bestFit="1" customWidth="1"/>
    <col min="8" max="8" width="19.28515625" bestFit="1" customWidth="1"/>
    <col min="9" max="9" width="7.140625" bestFit="1" customWidth="1"/>
    <col min="10" max="11" width="15.140625" bestFit="1" customWidth="1"/>
    <col min="12" max="12" width="24.85546875" bestFit="1" customWidth="1"/>
    <col min="13" max="13" width="28.28515625" bestFit="1" customWidth="1"/>
  </cols>
  <sheetData>
    <row r="1" spans="1:13" ht="15.75" thickBot="1" x14ac:dyDescent="0.3"/>
    <row r="2" spans="1:13" x14ac:dyDescent="0.25">
      <c r="A2" s="77" t="s">
        <v>58</v>
      </c>
      <c r="B2" s="78"/>
      <c r="C2" s="78"/>
      <c r="D2" s="78"/>
      <c r="E2" s="78"/>
      <c r="F2" s="78"/>
      <c r="G2" s="78"/>
      <c r="H2" s="78"/>
      <c r="I2" s="78"/>
      <c r="J2" s="79"/>
    </row>
    <row r="3" spans="1:13" x14ac:dyDescent="0.25">
      <c r="A3" s="10"/>
      <c r="B3" s="11"/>
      <c r="C3" s="11"/>
      <c r="D3" s="11"/>
      <c r="E3" s="11"/>
      <c r="F3" s="11"/>
      <c r="G3" s="11"/>
      <c r="H3" s="11"/>
      <c r="I3" s="11"/>
      <c r="J3" s="28"/>
    </row>
    <row r="4" spans="1:13" ht="15.75" thickBot="1" x14ac:dyDescent="0.3">
      <c r="A4" s="37"/>
      <c r="B4" s="38" t="s">
        <v>35</v>
      </c>
      <c r="C4" s="38" t="s">
        <v>42</v>
      </c>
      <c r="D4" s="38" t="s">
        <v>44</v>
      </c>
      <c r="E4" s="38" t="s">
        <v>45</v>
      </c>
      <c r="F4" s="38" t="s">
        <v>6</v>
      </c>
      <c r="G4" s="38" t="s">
        <v>46</v>
      </c>
      <c r="H4" s="38" t="s">
        <v>47</v>
      </c>
      <c r="I4" s="38" t="s">
        <v>48</v>
      </c>
      <c r="J4" s="39" t="s">
        <v>49</v>
      </c>
    </row>
    <row r="5" spans="1:13" x14ac:dyDescent="0.25">
      <c r="A5" s="37" t="s">
        <v>43</v>
      </c>
      <c r="B5" s="38">
        <v>2</v>
      </c>
      <c r="C5" s="38">
        <v>3.46</v>
      </c>
      <c r="D5" s="38">
        <v>0.9</v>
      </c>
      <c r="E5" s="38">
        <v>1.33</v>
      </c>
      <c r="F5" s="38">
        <f>Calculation!K8</f>
        <v>0</v>
      </c>
      <c r="G5" s="38">
        <v>1</v>
      </c>
      <c r="H5" s="38">
        <f>IF(Calculation!$B8="stc",2,0)</f>
        <v>0</v>
      </c>
      <c r="I5" s="38">
        <f>IF(Calculation!$G8="yes",2,0)</f>
        <v>0</v>
      </c>
      <c r="J5" s="39"/>
      <c r="L5" s="35" t="s">
        <v>59</v>
      </c>
      <c r="M5" s="36" t="s">
        <v>60</v>
      </c>
    </row>
    <row r="6" spans="1:13" x14ac:dyDescent="0.25">
      <c r="A6" s="10" t="s">
        <v>36</v>
      </c>
      <c r="B6" s="11">
        <f>Calculation!$D8/1000*Weight!$B$5</f>
        <v>0</v>
      </c>
      <c r="C6" s="11">
        <f>IF(Calculation!$F8="headbox",Calculation!$D8/1000*$C$5,0)</f>
        <v>0</v>
      </c>
      <c r="D6" s="11">
        <f>$D$5</f>
        <v>0.9</v>
      </c>
      <c r="E6" s="11">
        <f>Calculation!$D8/1000*Weight!$E$5</f>
        <v>0</v>
      </c>
      <c r="F6" s="11">
        <f>Calculation!$K8+(Calculation!$D8/1000)*(Calculation!$E8/1000)</f>
        <v>0</v>
      </c>
      <c r="G6" s="11">
        <f>$G$5</f>
        <v>1</v>
      </c>
      <c r="H6" s="11">
        <f>IF(Calculation!$B8="STC",Calculation!$E8/1000*Weight!$H$5,0)</f>
        <v>0</v>
      </c>
      <c r="I6" s="11">
        <f>IF(Calculation!$G8="yes",2,0)</f>
        <v>0</v>
      </c>
      <c r="J6" s="29">
        <f t="shared" ref="J6:J11" si="0">SUM(B6:I6)</f>
        <v>1.9</v>
      </c>
      <c r="L6" s="31">
        <f>J6</f>
        <v>1.9</v>
      </c>
      <c r="M6" s="32">
        <f>K18</f>
        <v>21.274000000000001</v>
      </c>
    </row>
    <row r="7" spans="1:13" x14ac:dyDescent="0.25">
      <c r="A7" s="10" t="s">
        <v>37</v>
      </c>
      <c r="B7" s="11">
        <f>Calculation!$D9/1000*Weight!$B$5</f>
        <v>0</v>
      </c>
      <c r="C7" s="11">
        <f>IF(Calculation!$F9="headbox",Calculation!$D9/1000*$C$5,0)</f>
        <v>0</v>
      </c>
      <c r="D7" s="11">
        <f t="shared" ref="D7:D11" si="1">$D$5</f>
        <v>0.9</v>
      </c>
      <c r="E7" s="11">
        <f>Calculation!$D9/1000*Weight!$E$5</f>
        <v>0</v>
      </c>
      <c r="F7" s="11">
        <f>Calculation!$K9+(Calculation!$D9/1000)*(Calculation!$E9/1000)</f>
        <v>0</v>
      </c>
      <c r="G7" s="11">
        <f t="shared" ref="G7:G11" si="2">$G$5</f>
        <v>1</v>
      </c>
      <c r="H7" s="11">
        <f>IF(Calculation!$B9="STC",Calculation!$E9/1000*Weight!$H$5,0)</f>
        <v>0</v>
      </c>
      <c r="I7" s="11">
        <f>IF(Calculation!$G9="yes",2,0)</f>
        <v>0</v>
      </c>
      <c r="J7" s="29">
        <f t="shared" si="0"/>
        <v>1.9</v>
      </c>
      <c r="L7" s="31">
        <f t="shared" ref="L7:L11" si="3">J7</f>
        <v>1.9</v>
      </c>
      <c r="M7" s="32">
        <f t="shared" ref="M7:M11" si="4">K19</f>
        <v>21.274000000000001</v>
      </c>
    </row>
    <row r="8" spans="1:13" x14ac:dyDescent="0.25">
      <c r="A8" s="10" t="s">
        <v>38</v>
      </c>
      <c r="B8" s="11">
        <f>Calculation!$D10/1000*Weight!$B$5</f>
        <v>0</v>
      </c>
      <c r="C8" s="11">
        <f>IF(Calculation!$F10="headbox",Calculation!$D10/1000*$C$5,0)</f>
        <v>0</v>
      </c>
      <c r="D8" s="11">
        <f t="shared" si="1"/>
        <v>0.9</v>
      </c>
      <c r="E8" s="11">
        <f>Calculation!$D10/1000*Weight!$E$5</f>
        <v>0</v>
      </c>
      <c r="F8" s="11">
        <f>Calculation!$K10+(Calculation!$D10/1000)*(Calculation!$E10/1000)</f>
        <v>0</v>
      </c>
      <c r="G8" s="11">
        <f t="shared" si="2"/>
        <v>1</v>
      </c>
      <c r="H8" s="11">
        <f>IF(Calculation!$B10="STC",Calculation!$E10/1000*Weight!$H$5,0)</f>
        <v>0</v>
      </c>
      <c r="I8" s="11">
        <f>IF(Calculation!$G10="yes",2,0)</f>
        <v>0</v>
      </c>
      <c r="J8" s="29">
        <f t="shared" si="0"/>
        <v>1.9</v>
      </c>
      <c r="L8" s="31">
        <f t="shared" si="3"/>
        <v>1.9</v>
      </c>
      <c r="M8" s="32">
        <f t="shared" si="4"/>
        <v>21.274000000000001</v>
      </c>
    </row>
    <row r="9" spans="1:13" x14ac:dyDescent="0.25">
      <c r="A9" s="10" t="s">
        <v>39</v>
      </c>
      <c r="B9" s="11">
        <f>Calculation!$D11/1000*Weight!$B$5</f>
        <v>0</v>
      </c>
      <c r="C9" s="11">
        <f>IF(Calculation!$F11="headbox",Calculation!$D11/1000*$C$5,0)</f>
        <v>0</v>
      </c>
      <c r="D9" s="11">
        <f t="shared" si="1"/>
        <v>0.9</v>
      </c>
      <c r="E9" s="11">
        <f>Calculation!$D11/1000*Weight!$E$5</f>
        <v>0</v>
      </c>
      <c r="F9" s="11">
        <f>Calculation!$K11+(Calculation!$D11/1000)*(Calculation!$E11/1000)</f>
        <v>0</v>
      </c>
      <c r="G9" s="11">
        <f t="shared" si="2"/>
        <v>1</v>
      </c>
      <c r="H9" s="11">
        <f>IF(Calculation!$B11="STC",Calculation!$E11/1000*Weight!$H$5,0)</f>
        <v>0</v>
      </c>
      <c r="I9" s="11">
        <f>IF(Calculation!$G11="yes",2,0)</f>
        <v>0</v>
      </c>
      <c r="J9" s="29">
        <f t="shared" si="0"/>
        <v>1.9</v>
      </c>
      <c r="L9" s="31">
        <f t="shared" si="3"/>
        <v>1.9</v>
      </c>
      <c r="M9" s="32">
        <f t="shared" si="4"/>
        <v>21.274000000000001</v>
      </c>
    </row>
    <row r="10" spans="1:13" x14ac:dyDescent="0.25">
      <c r="A10" s="10" t="s">
        <v>40</v>
      </c>
      <c r="B10" s="11">
        <f>Calculation!$D12/1000*Weight!$B$5</f>
        <v>0</v>
      </c>
      <c r="C10" s="11">
        <f>IF(Calculation!$F12="headbox",Calculation!$D12/1000*$C$5,0)</f>
        <v>0</v>
      </c>
      <c r="D10" s="11">
        <f t="shared" si="1"/>
        <v>0.9</v>
      </c>
      <c r="E10" s="11">
        <f>Calculation!$D12/1000*Weight!$E$5</f>
        <v>0</v>
      </c>
      <c r="F10" s="11">
        <f>Calculation!$K12+(Calculation!$D12/1000)*(Calculation!$E12/1000)</f>
        <v>0</v>
      </c>
      <c r="G10" s="11">
        <f t="shared" si="2"/>
        <v>1</v>
      </c>
      <c r="H10" s="11">
        <f>IF(Calculation!$B12="STC",Calculation!$E12/1000*Weight!$H$5,0)</f>
        <v>0</v>
      </c>
      <c r="I10" s="11">
        <f>IF(Calculation!$G12="yes",2,0)</f>
        <v>0</v>
      </c>
      <c r="J10" s="29">
        <f t="shared" si="0"/>
        <v>1.9</v>
      </c>
      <c r="L10" s="31">
        <f t="shared" si="3"/>
        <v>1.9</v>
      </c>
      <c r="M10" s="32">
        <f t="shared" si="4"/>
        <v>21.274000000000001</v>
      </c>
    </row>
    <row r="11" spans="1:13" ht="15.75" thickBot="1" x14ac:dyDescent="0.3">
      <c r="A11" s="15" t="s">
        <v>41</v>
      </c>
      <c r="B11" s="16">
        <f>Calculation!$D13/1000*Weight!$B$5</f>
        <v>0</v>
      </c>
      <c r="C11" s="16">
        <f>IF(Calculation!$F13="headbox",Calculation!$D13/1000*$C$5,0)</f>
        <v>0</v>
      </c>
      <c r="D11" s="16">
        <f t="shared" si="1"/>
        <v>0.9</v>
      </c>
      <c r="E11" s="16">
        <f>Calculation!$D13/1000*Weight!$E$5</f>
        <v>0</v>
      </c>
      <c r="F11" s="16">
        <f>Calculation!$K13+(Calculation!$D13/1000)*(Calculation!$E13/1000)</f>
        <v>0</v>
      </c>
      <c r="G11" s="16">
        <f t="shared" si="2"/>
        <v>1</v>
      </c>
      <c r="H11" s="11">
        <f>IF(Calculation!$B13="STC",Calculation!$E13/1000*Weight!$H$5,0)</f>
        <v>0</v>
      </c>
      <c r="I11" s="16">
        <f>IF(Calculation!$G13="yes",2,0)</f>
        <v>0</v>
      </c>
      <c r="J11" s="30">
        <f t="shared" si="0"/>
        <v>1.9</v>
      </c>
      <c r="L11" s="33">
        <f t="shared" si="3"/>
        <v>1.9</v>
      </c>
      <c r="M11" s="34">
        <f t="shared" si="4"/>
        <v>21.274000000000001</v>
      </c>
    </row>
    <row r="13" spans="1:13" ht="15.75" thickBot="1" x14ac:dyDescent="0.3"/>
    <row r="14" spans="1:13" x14ac:dyDescent="0.25">
      <c r="A14" s="77" t="s">
        <v>57</v>
      </c>
      <c r="B14" s="78"/>
      <c r="C14" s="78"/>
      <c r="D14" s="78"/>
      <c r="E14" s="78"/>
      <c r="F14" s="78"/>
      <c r="G14" s="78"/>
      <c r="H14" s="78"/>
      <c r="I14" s="78"/>
      <c r="J14" s="78"/>
      <c r="K14" s="79"/>
    </row>
    <row r="15" spans="1:13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28"/>
    </row>
    <row r="16" spans="1:13" x14ac:dyDescent="0.25">
      <c r="A16" s="37"/>
      <c r="B16" s="38" t="s">
        <v>35</v>
      </c>
      <c r="C16" s="38" t="s">
        <v>42</v>
      </c>
      <c r="D16" s="38" t="s">
        <v>44</v>
      </c>
      <c r="E16" s="38" t="s">
        <v>45</v>
      </c>
      <c r="F16" s="38" t="s">
        <v>6</v>
      </c>
      <c r="G16" s="38" t="s">
        <v>53</v>
      </c>
      <c r="H16" s="38" t="s">
        <v>54</v>
      </c>
      <c r="I16" s="38" t="s">
        <v>55</v>
      </c>
      <c r="J16" s="38" t="s">
        <v>56</v>
      </c>
      <c r="K16" s="39" t="s">
        <v>49</v>
      </c>
    </row>
    <row r="17" spans="1:11" x14ac:dyDescent="0.25">
      <c r="A17" s="37" t="s">
        <v>43</v>
      </c>
      <c r="B17" s="38">
        <v>3.5579999999999998</v>
      </c>
      <c r="C17" s="38">
        <v>4.6559999999999997</v>
      </c>
      <c r="D17" s="38">
        <v>1.7</v>
      </c>
      <c r="E17" s="38">
        <v>1.4059999999999999</v>
      </c>
      <c r="F17" s="38">
        <f>Calculation!$K8</f>
        <v>0</v>
      </c>
      <c r="G17" s="38">
        <v>2.0739999999999998</v>
      </c>
      <c r="H17" s="38">
        <v>11</v>
      </c>
      <c r="I17" s="38">
        <v>2.117</v>
      </c>
      <c r="J17" s="38">
        <v>6.5</v>
      </c>
      <c r="K17" s="39"/>
    </row>
    <row r="18" spans="1:11" x14ac:dyDescent="0.25">
      <c r="A18" s="10" t="s">
        <v>36</v>
      </c>
      <c r="B18" s="11">
        <f>Calculation!$D8/1000*$B$17</f>
        <v>0</v>
      </c>
      <c r="C18" s="11">
        <f>IF(Calculation!$F8="closed headbox",Calculation!$D8/1000*$C$17,0)</f>
        <v>0</v>
      </c>
      <c r="D18" s="11">
        <f>$D$17</f>
        <v>1.7</v>
      </c>
      <c r="E18" s="11">
        <f>Calculation!$D8/1000*Weight!$E$17</f>
        <v>0</v>
      </c>
      <c r="F18" s="11">
        <f>Calculation!$K8+(Calculation!$D8/1000)*(Calculation!$E8/1000)</f>
        <v>0</v>
      </c>
      <c r="G18" s="11">
        <f>$G$17</f>
        <v>2.0739999999999998</v>
      </c>
      <c r="H18" s="11">
        <f>$H$17</f>
        <v>11</v>
      </c>
      <c r="I18" s="11">
        <f>Calculation!$E8*$I$17/1000*2</f>
        <v>0</v>
      </c>
      <c r="J18" s="11">
        <f>$J$17</f>
        <v>6.5</v>
      </c>
      <c r="K18" s="29">
        <f t="shared" ref="K18:K23" si="5">SUM(B18:J18)</f>
        <v>21.274000000000001</v>
      </c>
    </row>
    <row r="19" spans="1:11" x14ac:dyDescent="0.25">
      <c r="A19" s="10" t="s">
        <v>37</v>
      </c>
      <c r="B19" s="11">
        <f>Calculation!$D9/1000*$B$17</f>
        <v>0</v>
      </c>
      <c r="C19" s="11">
        <f>IF(Calculation!$F9="closed headbox",Calculation!$D9/1000*$C$17,0)</f>
        <v>0</v>
      </c>
      <c r="D19" s="11">
        <f t="shared" ref="D19:D23" si="6">$D$17</f>
        <v>1.7</v>
      </c>
      <c r="E19" s="11">
        <f>Calculation!$D9/1000*Weight!$E$17</f>
        <v>0</v>
      </c>
      <c r="F19" s="11">
        <f>Calculation!$K9+(Calculation!$D9/1000)*(Calculation!$E9/1000)</f>
        <v>0</v>
      </c>
      <c r="G19" s="11">
        <f t="shared" ref="G19:G23" si="7">$G$17</f>
        <v>2.0739999999999998</v>
      </c>
      <c r="H19" s="11">
        <f t="shared" ref="H19:H23" si="8">$H$17</f>
        <v>11</v>
      </c>
      <c r="I19" s="11">
        <f>Calculation!$E9/1000*Weight!$I$17*2</f>
        <v>0</v>
      </c>
      <c r="J19" s="11">
        <f t="shared" ref="J19:J23" si="9">$J$17</f>
        <v>6.5</v>
      </c>
      <c r="K19" s="29">
        <f t="shared" si="5"/>
        <v>21.274000000000001</v>
      </c>
    </row>
    <row r="20" spans="1:11" x14ac:dyDescent="0.25">
      <c r="A20" s="10" t="s">
        <v>38</v>
      </c>
      <c r="B20" s="11">
        <f>Calculation!$D10/1000*$B$17</f>
        <v>0</v>
      </c>
      <c r="C20" s="11">
        <f>IF(Calculation!$F10="closed headbox",Calculation!$D10/1000*$C$17,0)</f>
        <v>0</v>
      </c>
      <c r="D20" s="11">
        <f t="shared" si="6"/>
        <v>1.7</v>
      </c>
      <c r="E20" s="11">
        <f>Calculation!$D10/1000*Weight!$E$17</f>
        <v>0</v>
      </c>
      <c r="F20" s="11">
        <f>Calculation!$K10+(Calculation!$D10/1000)*(Calculation!$E10/1000)</f>
        <v>0</v>
      </c>
      <c r="G20" s="11">
        <f t="shared" si="7"/>
        <v>2.0739999999999998</v>
      </c>
      <c r="H20" s="11">
        <f t="shared" si="8"/>
        <v>11</v>
      </c>
      <c r="I20" s="11">
        <f>Calculation!$E10/1000*Weight!$I$17*2</f>
        <v>0</v>
      </c>
      <c r="J20" s="11">
        <f t="shared" si="9"/>
        <v>6.5</v>
      </c>
      <c r="K20" s="29">
        <f t="shared" si="5"/>
        <v>21.274000000000001</v>
      </c>
    </row>
    <row r="21" spans="1:11" x14ac:dyDescent="0.25">
      <c r="A21" s="10" t="s">
        <v>39</v>
      </c>
      <c r="B21" s="11">
        <f>Calculation!$D11/1000*$B$17</f>
        <v>0</v>
      </c>
      <c r="C21" s="11">
        <f>IF(Calculation!$F11="closed headbox",Calculation!$D11/1000*$C$17,0)</f>
        <v>0</v>
      </c>
      <c r="D21" s="11">
        <f t="shared" si="6"/>
        <v>1.7</v>
      </c>
      <c r="E21" s="11">
        <f>Calculation!$D11/1000*Weight!$E$17</f>
        <v>0</v>
      </c>
      <c r="F21" s="11">
        <f>Calculation!$K11+(Calculation!$D11/1000)*(Calculation!$E11/1000)</f>
        <v>0</v>
      </c>
      <c r="G21" s="11">
        <f t="shared" si="7"/>
        <v>2.0739999999999998</v>
      </c>
      <c r="H21" s="11">
        <f t="shared" si="8"/>
        <v>11</v>
      </c>
      <c r="I21" s="11">
        <f>Calculation!$E11/1000*Weight!$I$17*2</f>
        <v>0</v>
      </c>
      <c r="J21" s="11">
        <f t="shared" si="9"/>
        <v>6.5</v>
      </c>
      <c r="K21" s="29">
        <f t="shared" si="5"/>
        <v>21.274000000000001</v>
      </c>
    </row>
    <row r="22" spans="1:11" x14ac:dyDescent="0.25">
      <c r="A22" s="10" t="s">
        <v>40</v>
      </c>
      <c r="B22" s="11">
        <f>Calculation!$D12/1000*$B$17</f>
        <v>0</v>
      </c>
      <c r="C22" s="11">
        <f>IF(Calculation!$F12="closed headbox",Calculation!$D12/1000*$C$17,0)</f>
        <v>0</v>
      </c>
      <c r="D22" s="11">
        <f t="shared" si="6"/>
        <v>1.7</v>
      </c>
      <c r="E22" s="11">
        <f>Calculation!$D12/1000*Weight!$E$17</f>
        <v>0</v>
      </c>
      <c r="F22" s="11">
        <f>Calculation!$K12+(Calculation!$D12/1000)*(Calculation!$E12/1000)</f>
        <v>0</v>
      </c>
      <c r="G22" s="11">
        <f t="shared" si="7"/>
        <v>2.0739999999999998</v>
      </c>
      <c r="H22" s="11">
        <f t="shared" si="8"/>
        <v>11</v>
      </c>
      <c r="I22" s="11">
        <f>Calculation!$E12/1000*Weight!$I$17*2</f>
        <v>0</v>
      </c>
      <c r="J22" s="11">
        <f t="shared" si="9"/>
        <v>6.5</v>
      </c>
      <c r="K22" s="29">
        <f t="shared" si="5"/>
        <v>21.274000000000001</v>
      </c>
    </row>
    <row r="23" spans="1:11" ht="15.75" thickBot="1" x14ac:dyDescent="0.3">
      <c r="A23" s="15" t="s">
        <v>41</v>
      </c>
      <c r="B23" s="16">
        <f>Calculation!$D13/1000*$B$17</f>
        <v>0</v>
      </c>
      <c r="C23" s="16">
        <f>IF(Calculation!$F13="closed headbox",Calculation!$D13/1000*$C$17,0)</f>
        <v>0</v>
      </c>
      <c r="D23" s="11">
        <f t="shared" si="6"/>
        <v>1.7</v>
      </c>
      <c r="E23" s="16">
        <f>Calculation!$D13/1000*Weight!$E$17</f>
        <v>0</v>
      </c>
      <c r="F23" s="16">
        <f>Calculation!$K13+(Calculation!$D13/1000)*(Calculation!$E13/1000)</f>
        <v>0</v>
      </c>
      <c r="G23" s="16">
        <f t="shared" si="7"/>
        <v>2.0739999999999998</v>
      </c>
      <c r="H23" s="16">
        <f t="shared" si="8"/>
        <v>11</v>
      </c>
      <c r="I23" s="16">
        <f>Calculation!$E13/1000*Weight!$I$17*2</f>
        <v>0</v>
      </c>
      <c r="J23" s="16">
        <f t="shared" si="9"/>
        <v>6.5</v>
      </c>
      <c r="K23" s="30">
        <f t="shared" si="5"/>
        <v>21.274000000000001</v>
      </c>
    </row>
  </sheetData>
  <mergeCells count="2">
    <mergeCell ref="A2:J2"/>
    <mergeCell ref="A14:K14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2406-A2D4-4DDD-AE0D-0C305DC6BA8E}">
  <dimension ref="B3:M27"/>
  <sheetViews>
    <sheetView workbookViewId="0">
      <selection activeCell="L10" sqref="L10"/>
    </sheetView>
  </sheetViews>
  <sheetFormatPr defaultRowHeight="15" x14ac:dyDescent="0.25"/>
  <cols>
    <col min="2" max="2" width="36.7109375" bestFit="1" customWidth="1"/>
    <col min="3" max="3" width="19.140625" bestFit="1" customWidth="1"/>
    <col min="7" max="8" width="17.85546875" bestFit="1" customWidth="1"/>
    <col min="9" max="9" width="14.7109375" bestFit="1" customWidth="1"/>
    <col min="12" max="14" width="17.28515625" bestFit="1" customWidth="1"/>
    <col min="15" max="15" width="14.7109375" bestFit="1" customWidth="1"/>
    <col min="16" max="16" width="15.5703125" bestFit="1" customWidth="1"/>
    <col min="17" max="17" width="12" bestFit="1" customWidth="1"/>
    <col min="18" max="18" width="16.28515625" bestFit="1" customWidth="1"/>
  </cols>
  <sheetData>
    <row r="3" spans="2:13" x14ac:dyDescent="0.25">
      <c r="B3" t="s">
        <v>16</v>
      </c>
      <c r="F3" t="s">
        <v>16</v>
      </c>
      <c r="G3" t="s">
        <v>17</v>
      </c>
      <c r="H3" t="s">
        <v>18</v>
      </c>
      <c r="I3" t="s">
        <v>19</v>
      </c>
    </row>
    <row r="4" spans="2:13" x14ac:dyDescent="0.25">
      <c r="B4" t="s">
        <v>17</v>
      </c>
      <c r="F4" s="6" t="s">
        <v>25</v>
      </c>
      <c r="G4" s="6" t="s">
        <v>25</v>
      </c>
      <c r="H4" s="6" t="s">
        <v>25</v>
      </c>
      <c r="I4" s="6" t="s">
        <v>22</v>
      </c>
    </row>
    <row r="5" spans="2:13" x14ac:dyDescent="0.25">
      <c r="B5" t="s">
        <v>18</v>
      </c>
      <c r="F5" s="6" t="s">
        <v>28</v>
      </c>
      <c r="G5" s="6" t="s">
        <v>28</v>
      </c>
      <c r="H5" s="6" t="s">
        <v>28</v>
      </c>
    </row>
    <row r="6" spans="2:13" x14ac:dyDescent="0.25">
      <c r="B6" t="s">
        <v>19</v>
      </c>
      <c r="F6" s="6" t="s">
        <v>31</v>
      </c>
      <c r="G6" s="6" t="s">
        <v>31</v>
      </c>
      <c r="H6" s="6" t="s">
        <v>31</v>
      </c>
      <c r="I6" s="6" t="s">
        <v>52</v>
      </c>
    </row>
    <row r="11" spans="2:13" x14ac:dyDescent="0.25">
      <c r="B11" s="6" t="s">
        <v>22</v>
      </c>
      <c r="C11" s="6" t="s">
        <v>25</v>
      </c>
    </row>
    <row r="12" spans="2:13" x14ac:dyDescent="0.25">
      <c r="B12" t="s">
        <v>20</v>
      </c>
      <c r="C12" t="s">
        <v>63</v>
      </c>
    </row>
    <row r="13" spans="2:13" x14ac:dyDescent="0.25">
      <c r="B13" t="s">
        <v>21</v>
      </c>
      <c r="C13" t="s">
        <v>23</v>
      </c>
    </row>
    <row r="14" spans="2:13" x14ac:dyDescent="0.25">
      <c r="C14" t="s">
        <v>24</v>
      </c>
    </row>
    <row r="15" spans="2:13" x14ac:dyDescent="0.25">
      <c r="F15" s="6" t="s">
        <v>28</v>
      </c>
      <c r="H15" s="6" t="s">
        <v>20</v>
      </c>
      <c r="I15" s="6" t="s">
        <v>21</v>
      </c>
      <c r="J15" s="6" t="s">
        <v>63</v>
      </c>
      <c r="K15" s="6" t="s">
        <v>23</v>
      </c>
      <c r="L15" s="6" t="s">
        <v>24</v>
      </c>
    </row>
    <row r="16" spans="2:13" x14ac:dyDescent="0.25">
      <c r="F16" t="s">
        <v>26</v>
      </c>
      <c r="G16" s="6" t="s">
        <v>14</v>
      </c>
      <c r="H16" s="17">
        <v>0.47399999999999998</v>
      </c>
      <c r="I16" s="17">
        <v>0.54400000000000004</v>
      </c>
      <c r="J16" s="17">
        <v>0.54500000000000004</v>
      </c>
      <c r="K16" s="17">
        <v>0.57299999999999995</v>
      </c>
      <c r="L16" s="17">
        <v>0.57599999999999996</v>
      </c>
      <c r="M16" s="2"/>
    </row>
    <row r="17" spans="3:13" x14ac:dyDescent="0.25">
      <c r="F17" t="s">
        <v>27</v>
      </c>
      <c r="G17" s="6" t="s">
        <v>34</v>
      </c>
      <c r="H17" s="2">
        <v>0.6</v>
      </c>
      <c r="I17" s="2">
        <v>0.8</v>
      </c>
      <c r="J17" s="2">
        <v>0.75</v>
      </c>
      <c r="K17" s="2">
        <v>0.87</v>
      </c>
      <c r="L17" s="2">
        <v>0.95</v>
      </c>
      <c r="M17" s="2"/>
    </row>
    <row r="20" spans="3:13" x14ac:dyDescent="0.25">
      <c r="F20" s="6" t="s">
        <v>31</v>
      </c>
    </row>
    <row r="21" spans="3:13" x14ac:dyDescent="0.25">
      <c r="F21" t="s">
        <v>29</v>
      </c>
    </row>
    <row r="22" spans="3:13" x14ac:dyDescent="0.25">
      <c r="F22" t="s">
        <v>30</v>
      </c>
    </row>
    <row r="25" spans="3:13" x14ac:dyDescent="0.25">
      <c r="C25" s="6" t="s">
        <v>52</v>
      </c>
    </row>
    <row r="26" spans="3:13" x14ac:dyDescent="0.25">
      <c r="C26" t="s">
        <v>50</v>
      </c>
    </row>
    <row r="27" spans="3:13" x14ac:dyDescent="0.25">
      <c r="C27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Calculation</vt:lpstr>
      <vt:lpstr>Weight</vt:lpstr>
      <vt:lpstr>Sheet1</vt:lpstr>
      <vt:lpstr>HEADBOXOPTIONS</vt:lpstr>
      <vt:lpstr>MAGNAFABRIC</vt:lpstr>
      <vt:lpstr>MAGNAHEADBOX</vt:lpstr>
      <vt:lpstr>STANDARDRANGE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Hemi Ruru</dc:creator>
  <cp:lastModifiedBy>Hemi Ruru</cp:lastModifiedBy>
  <dcterms:created xsi:type="dcterms:W3CDTF">2019-08-07T03:53:12Z</dcterms:created>
  <dcterms:modified xsi:type="dcterms:W3CDTF">2021-11-21T20:01:26Z</dcterms:modified>
</cp:coreProperties>
</file>